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00" windowHeight="6060" activeTab="0"/>
  </bookViews>
  <sheets>
    <sheet name="Forward" sheetId="1" r:id="rId1"/>
    <sheet name="Reverse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<sst xmlns="http://schemas.openxmlformats.org/spreadsheetml/2006/main" count="52" uniqueCount="36">
  <si>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FROM SEASONAL CHANGES IN THE ADMIRALTY TIDE TABLES</t>
  </si>
  <si>
    <t>STATION</t>
  </si>
  <si>
    <t>LOCALITY</t>
  </si>
  <si>
    <t>STATION NUMBERS</t>
  </si>
  <si>
    <t>ORGANIZATION</t>
  </si>
  <si>
    <t>ARCHIVE NO.</t>
  </si>
  <si>
    <t>ide Tables</t>
  </si>
  <si>
    <t>Rsinr</t>
  </si>
  <si>
    <t xml:space="preserve">(enter all values from tables on row 10) </t>
  </si>
  <si>
    <t>Rcosr</t>
  </si>
  <si>
    <t>Sa</t>
  </si>
  <si>
    <t>Ssa</t>
  </si>
  <si>
    <t>H</t>
  </si>
  <si>
    <t>g</t>
  </si>
  <si>
    <r>
      <t>E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+ u</t>
    </r>
  </si>
  <si>
    <r>
      <t>E</t>
    </r>
    <r>
      <rPr>
        <b/>
        <vertAlign val="subscript"/>
        <sz val="10"/>
        <rFont val="Arial"/>
        <family val="2"/>
      </rPr>
      <t xml:space="preserve">o  </t>
    </r>
    <r>
      <rPr>
        <b/>
        <sz val="10"/>
        <rFont val="Arial"/>
        <family val="2"/>
      </rPr>
      <t>+  u</t>
    </r>
  </si>
  <si>
    <t>Seasonal Changes from Admiralty Tide Tables</t>
  </si>
  <si>
    <t>YEAR</t>
  </si>
  <si>
    <t>(a four digit year must be entered here for program to give correct results)</t>
  </si>
  <si>
    <t xml:space="preserve">           h =</t>
  </si>
  <si>
    <r>
      <t xml:space="preserve">         </t>
    </r>
    <r>
      <rPr>
        <b/>
        <sz val="10"/>
        <rFont val="Arial"/>
        <family val="2"/>
      </rPr>
      <t>2h =</t>
    </r>
  </si>
  <si>
    <t>APPROXIMATE LONG TERM SOLAR TIDAL CONSTITUENTS</t>
  </si>
  <si>
    <t>SEASONAL CHANGES IN TIDE FROM</t>
  </si>
  <si>
    <t>LONG TERM SOLAR TIDAL CONSTITUENTS</t>
  </si>
  <si>
    <t>g=</t>
  </si>
  <si>
    <t>H=</t>
  </si>
  <si>
    <t>(Enter g, H values in cells D11, D12, G11 and G12)</t>
  </si>
  <si>
    <r>
      <t>E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+u =</t>
    </r>
  </si>
  <si>
    <r>
      <t>E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+u</t>
    </r>
  </si>
  <si>
    <t>(E+u at beginning of year)</t>
  </si>
  <si>
    <t>(E+u at beginning of next year)</t>
  </si>
  <si>
    <t>Eo+u =</t>
  </si>
  <si>
    <t>Eo+u</t>
  </si>
  <si>
    <t>(Seasonal Changes are on Row 24)</t>
  </si>
  <si>
    <t>(Enter 4 digit year in cell B7- must be entered for program to work correctly)</t>
  </si>
  <si>
    <t xml:space="preserve"> = Test for Leap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</si>
</sst>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"/>
    <numFmt numFmtId="166" formatCode="0.00;[Red]0.00"/>
    <numFmt numFmtId="167" formatCode="0.0;[Red]0.0"/>
    <numFmt numFmtId="168" formatCode="0.0"/>
    <numFmt numFmtId="169" formatCode="0.0000"/>
    <numFmt numFmtId="170" formatCode="0.0E+00"/>
    <numFmt numFmtId="171" formatCode="0.000"/>
    <numFmt numFmtId="172" formatCode="0.00000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8" fontId="0" fillId="2" borderId="0" xfId="0" applyNumberFormat="1" applyFont="1" applyFill="1" applyAlignment="1" applyProtection="1">
      <alignment horizontal="center"/>
      <protection locked="0"/>
    </xf>
    <xf numFmtId="16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6" fontId="1" fillId="0" borderId="0" xfId="0" applyNumberFormat="1" applyFont="1" applyAlignment="1">
      <alignment/>
    </xf>
    <xf numFmtId="0" fontId="0" fillId="3" borderId="0" xfId="0" applyFill="1" applyAlignment="1" applyProtection="1">
      <alignment/>
      <protection locked="0"/>
    </xf>
    <xf numFmtId="168" fontId="0" fillId="3" borderId="0" xfId="0" applyNumberFormat="1" applyFill="1" applyAlignment="1">
      <alignment/>
    </xf>
    <xf numFmtId="0" fontId="0" fillId="3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7">
      <selection activeCell="A7" sqref="A7"/>
    </sheetView>
  </sheetViews>
  <sheetFormatPr defaultColWidth="9.140625" defaultRowHeight="12.75"/>
  <cols>
    <col min="6" max="6" width="11.7109375" style="0" customWidth="1"/>
  </cols>
  <sheetData>
    <row r="1" spans="1:6" ht="12.75">
      <c r="A1" s="1" t="s">
        <v>21</v>
      </c>
      <c r="D1" s="1"/>
      <c r="E1" s="1"/>
      <c r="F1" s="1"/>
    </row>
    <row r="2" ht="12.75">
      <c r="A2" s="1" t="s">
        <v>0</v>
      </c>
    </row>
    <row r="4" spans="1:11" ht="12.75">
      <c r="A4" s="1" t="s">
        <v>1</v>
      </c>
      <c r="B4" s="8"/>
      <c r="C4" s="8"/>
      <c r="D4" s="8"/>
      <c r="E4" s="8"/>
      <c r="F4" s="1" t="s">
        <v>2</v>
      </c>
      <c r="G4" s="8"/>
      <c r="H4" s="8"/>
      <c r="I4" s="8"/>
      <c r="J4" s="8"/>
      <c r="K4" s="7"/>
    </row>
    <row r="5" spans="1:10" ht="12.75">
      <c r="A5" s="1" t="s">
        <v>3</v>
      </c>
      <c r="C5" s="8"/>
      <c r="D5" s="8"/>
      <c r="E5" s="15" t="s">
        <v>4</v>
      </c>
      <c r="F5" s="15"/>
      <c r="G5" s="9"/>
      <c r="H5" s="8"/>
      <c r="I5" s="8"/>
      <c r="J5" s="8"/>
    </row>
    <row r="6" spans="1:5" ht="12.75">
      <c r="A6" s="1" t="s">
        <v>5</v>
      </c>
      <c r="C6" s="8"/>
      <c r="D6" s="8"/>
      <c r="E6" s="8"/>
    </row>
    <row r="7" spans="1:3" ht="12.75">
      <c r="A7" s="1" t="s">
        <v>17</v>
      </c>
      <c r="B7" s="7">
        <v>2002</v>
      </c>
      <c r="C7" t="s">
        <v>18</v>
      </c>
    </row>
    <row r="8" spans="4:8" ht="12.75">
      <c r="D8" t="s">
        <v>16</v>
      </c>
      <c r="G8" t="s">
        <v>6</v>
      </c>
      <c r="H8" t="s">
        <v>8</v>
      </c>
    </row>
    <row r="9" spans="1:13" ht="12.75">
      <c r="A9" s="2">
        <v>36161</v>
      </c>
      <c r="B9" s="2">
        <v>36192</v>
      </c>
      <c r="C9" s="2">
        <v>36220</v>
      </c>
      <c r="D9" s="2">
        <v>36251</v>
      </c>
      <c r="E9" s="2">
        <v>36281</v>
      </c>
      <c r="F9" s="2">
        <v>36312</v>
      </c>
      <c r="G9" s="2">
        <v>36342</v>
      </c>
      <c r="H9" s="2">
        <v>36373</v>
      </c>
      <c r="I9" s="2">
        <v>36404</v>
      </c>
      <c r="J9" s="2">
        <v>36434</v>
      </c>
      <c r="K9" s="2">
        <v>36465</v>
      </c>
      <c r="L9" s="2">
        <v>36861</v>
      </c>
      <c r="M9" s="2">
        <v>36526</v>
      </c>
    </row>
    <row r="10" spans="1:14" ht="12.75">
      <c r="A10" s="10">
        <v>0</v>
      </c>
      <c r="B10" s="10">
        <v>0</v>
      </c>
      <c r="C10" s="10">
        <v>-0.1</v>
      </c>
      <c r="D10" s="10">
        <v>-0.1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0.1</v>
      </c>
      <c r="K10" s="10">
        <v>0.1</v>
      </c>
      <c r="L10" s="10">
        <v>0.1</v>
      </c>
      <c r="M10" s="16">
        <v>0</v>
      </c>
      <c r="N10" s="17"/>
    </row>
    <row r="11" ht="12.75">
      <c r="D11" s="4" t="s">
        <v>10</v>
      </c>
    </row>
    <row r="12" spans="1:6" ht="12.75">
      <c r="A12" s="5">
        <f>D10-J10</f>
        <v>-0.2</v>
      </c>
      <c r="F12" s="5">
        <f>(A10-G10)+0.00001</f>
        <v>1E-05</v>
      </c>
    </row>
    <row r="13" spans="1:6" ht="12.75">
      <c r="A13" s="5">
        <f>0.866*(C10+E10-I10-K10)</f>
        <v>-0.17320000000000002</v>
      </c>
      <c r="F13" s="5">
        <f>0.866*(B10-F10-H10+L10)</f>
        <v>0.08660000000000001</v>
      </c>
    </row>
    <row r="14" spans="1:6" ht="12.75">
      <c r="A14" s="5">
        <f>0.5*(B10+F10-H10-L10)</f>
        <v>-0.05</v>
      </c>
      <c r="F14" s="5">
        <f>0.5*(C10-E10-I10+K10)</f>
        <v>0</v>
      </c>
    </row>
    <row r="15" spans="1:7" ht="12.75">
      <c r="A15" s="5">
        <f>A12+A13+A14</f>
        <v>-0.4232</v>
      </c>
      <c r="B15" s="4" t="s">
        <v>7</v>
      </c>
      <c r="F15" s="5">
        <f>F12+F13+F14</f>
        <v>0.08661</v>
      </c>
      <c r="G15" s="4" t="s">
        <v>9</v>
      </c>
    </row>
    <row r="17" ht="12.75">
      <c r="D17" s="4" t="s">
        <v>11</v>
      </c>
    </row>
    <row r="18" spans="1:6" ht="12.75">
      <c r="A18" s="5">
        <f>0.866*(B10+C10-E10-F10+H10+I10-K10-L10)</f>
        <v>-0.25980000000000003</v>
      </c>
      <c r="F18" s="5">
        <f>A10-D10+G10-J10</f>
        <v>0</v>
      </c>
    </row>
    <row r="19" spans="1:7" ht="12.75">
      <c r="A19" s="5">
        <f>A18</f>
        <v>-0.25980000000000003</v>
      </c>
      <c r="B19" s="4" t="s">
        <v>7</v>
      </c>
      <c r="F19" s="5">
        <f>0.5*(B10-C10-E10+F10+H10-I10-K10+L10)</f>
        <v>0.05</v>
      </c>
      <c r="G19" s="4"/>
    </row>
    <row r="20" spans="6:7" ht="12.75">
      <c r="F20" s="5">
        <f>F18+F19</f>
        <v>0.05</v>
      </c>
      <c r="G20" s="4" t="s">
        <v>9</v>
      </c>
    </row>
    <row r="21" spans="1:3" ht="12.75">
      <c r="A21" s="4" t="s">
        <v>10</v>
      </c>
      <c r="C21" s="4" t="s">
        <v>11</v>
      </c>
    </row>
    <row r="22" spans="1:3" ht="12.75">
      <c r="A22" s="6">
        <f>SQRT((A15*A15)+(F15*F15))</f>
        <v>0.4319716797430128</v>
      </c>
      <c r="C22" s="6">
        <f>SQRT((A19*A19)+(F20*F20))</f>
        <v>0.2645676473040497</v>
      </c>
    </row>
    <row r="23" spans="1:9" ht="12.75">
      <c r="A23" s="11">
        <f>A22/6</f>
        <v>0.0719952799571688</v>
      </c>
      <c r="B23" s="12" t="s">
        <v>12</v>
      </c>
      <c r="C23" s="11">
        <f>C22/6</f>
        <v>0.044094607884008284</v>
      </c>
      <c r="D23" s="12" t="s">
        <v>12</v>
      </c>
      <c r="F23" s="1" t="s">
        <v>19</v>
      </c>
      <c r="G23" s="19">
        <f>280.1895015-(0.238724988*H23)+(I23*0.9856473288)</f>
        <v>280.480735944</v>
      </c>
      <c r="H23">
        <f>B7-1900</f>
        <v>102</v>
      </c>
      <c r="I23" s="18">
        <f>INT((B7-1901)/4)</f>
        <v>25</v>
      </c>
    </row>
    <row r="24" spans="1:7" ht="12.75">
      <c r="A24" s="3">
        <f>IF(F15=0,A25,ATAN(A15/F15)*57.2957787)</f>
        <v>-78.43384326579348</v>
      </c>
      <c r="C24" s="3">
        <f>IF(F20=0,C25,ATAN(A19/F20)*57.2957787)</f>
        <v>-79.10629232024503</v>
      </c>
      <c r="F24" t="s">
        <v>20</v>
      </c>
      <c r="G24" s="19">
        <f>2*G23-360</f>
        <v>200.961471888</v>
      </c>
    </row>
    <row r="25" spans="1:3" ht="12.75">
      <c r="A25" s="3">
        <f>IF(AND(A15&gt;=0,F15&gt;0),A24,IF(AND(A15&lt;=0,F15&lt;0),A24+180,IF(AND(A15&gt;=0,F15&lt;0),180+A24,IF(AND(A15&lt;=0,F15&gt;0),360+A24,IF(AND(A15&gt;0,F15=0),90,IF(AND(A15&lt;0,F15=0),270,270))))))</f>
        <v>281.5661567342065</v>
      </c>
      <c r="C25" s="3">
        <f>IF(AND(A19&gt;=0,F20&gt;0),C24,IF(AND(A19&lt;=0,F20&lt;0),C24+180,IF(AND(A19&gt;=0,F20&lt;0),180+C24,IF(AND(A19&lt;=0,F20&gt;0),360+C24,IF(AND(A19&gt;0,F20=0),90,IF(AND(A19&lt;0,F20=0),270,270))))))</f>
        <v>280.893707679755</v>
      </c>
    </row>
    <row r="26" spans="1:4" ht="14.25">
      <c r="A26" s="3">
        <f>G23</f>
        <v>280.480735944</v>
      </c>
      <c r="B26" s="4" t="s">
        <v>14</v>
      </c>
      <c r="C26" s="3">
        <f>IF(C23&gt;0,G24,0)</f>
        <v>200.961471888</v>
      </c>
      <c r="D26" s="4" t="s">
        <v>15</v>
      </c>
    </row>
    <row r="27" spans="1:4" ht="12.75">
      <c r="A27" s="13">
        <f>IF(A25+A26&gt;=360,A25+A26-360,A25+A26)</f>
        <v>202.04689267820652</v>
      </c>
      <c r="B27" s="14" t="s">
        <v>13</v>
      </c>
      <c r="C27" s="13">
        <f>IF(C25+C26&gt;=360,C25+C26-360,C25+C26)</f>
        <v>121.85517956775499</v>
      </c>
      <c r="D27" s="12" t="s">
        <v>13</v>
      </c>
    </row>
  </sheetData>
  <sheetProtection password="8CC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5">
      <selection activeCell="C5" sqref="C5"/>
    </sheetView>
  </sheetViews>
  <sheetFormatPr defaultColWidth="9.140625" defaultRowHeight="12.75"/>
  <cols>
    <col min="1" max="1" width="13.00390625" style="0" bestFit="1" customWidth="1"/>
  </cols>
  <sheetData>
    <row r="1" ht="12.75">
      <c r="A1" s="1" t="s">
        <v>22</v>
      </c>
    </row>
    <row r="2" ht="12.75">
      <c r="A2" s="1" t="s">
        <v>23</v>
      </c>
    </row>
    <row r="3" ht="12.75">
      <c r="G3" s="17"/>
    </row>
    <row r="4" spans="1:11" ht="12.75">
      <c r="A4" s="1" t="s">
        <v>1</v>
      </c>
      <c r="B4" s="7"/>
      <c r="C4" s="7"/>
      <c r="D4" s="7"/>
      <c r="E4" s="7"/>
      <c r="F4" s="7"/>
      <c r="G4" s="1" t="s">
        <v>2</v>
      </c>
      <c r="H4" s="7"/>
      <c r="I4" s="7"/>
      <c r="J4" s="7"/>
      <c r="K4" s="7"/>
    </row>
    <row r="5" spans="1:11" ht="12.75">
      <c r="A5" s="1" t="s">
        <v>3</v>
      </c>
      <c r="C5" s="7"/>
      <c r="D5" s="7"/>
      <c r="E5" s="7"/>
      <c r="F5" s="1" t="s">
        <v>4</v>
      </c>
      <c r="H5" s="7"/>
      <c r="I5" s="7"/>
      <c r="J5" s="7"/>
      <c r="K5" s="7"/>
    </row>
    <row r="6" spans="1:3" ht="12.75">
      <c r="A6" s="1" t="s">
        <v>5</v>
      </c>
      <c r="B6" s="7"/>
      <c r="C6" s="7"/>
    </row>
    <row r="7" spans="1:3" ht="12.75">
      <c r="A7" s="1" t="s">
        <v>17</v>
      </c>
      <c r="B7" s="22">
        <v>2002</v>
      </c>
      <c r="C7" t="s">
        <v>34</v>
      </c>
    </row>
    <row r="10" spans="3:7" ht="12.75">
      <c r="C10" s="1" t="s">
        <v>10</v>
      </c>
      <c r="F10" s="1" t="s">
        <v>11</v>
      </c>
      <c r="G10" t="s">
        <v>26</v>
      </c>
    </row>
    <row r="11" spans="3:7" ht="12.75">
      <c r="C11" s="4" t="s">
        <v>24</v>
      </c>
      <c r="D11" s="7">
        <v>235.5</v>
      </c>
      <c r="F11" s="4" t="s">
        <v>24</v>
      </c>
      <c r="G11" s="7">
        <v>201</v>
      </c>
    </row>
    <row r="12" spans="3:7" ht="12.75">
      <c r="C12" s="4" t="s">
        <v>25</v>
      </c>
      <c r="D12" s="7">
        <v>0.088</v>
      </c>
      <c r="F12" s="4" t="s">
        <v>25</v>
      </c>
      <c r="G12" s="7">
        <v>0.0333</v>
      </c>
    </row>
    <row r="13" spans="2:11" ht="14.25">
      <c r="B13" s="1" t="s">
        <v>27</v>
      </c>
      <c r="C13">
        <f>280.1895015-(0.238724988*D14)+(D15*0.9856473288)</f>
        <v>280.480735944</v>
      </c>
      <c r="D13" s="20"/>
      <c r="E13" s="1" t="s">
        <v>28</v>
      </c>
      <c r="F13">
        <f>2*C13-360</f>
        <v>200.961471888</v>
      </c>
      <c r="G13" t="s">
        <v>29</v>
      </c>
      <c r="J13" s="20">
        <f>MOD((B7-1900),4)</f>
        <v>2</v>
      </c>
      <c r="K13" s="1" t="s">
        <v>35</v>
      </c>
    </row>
    <row r="14" spans="4:5" ht="12.75">
      <c r="D14" s="20">
        <f>B7-1900</f>
        <v>102</v>
      </c>
      <c r="E14" s="20"/>
    </row>
    <row r="15" spans="4:5" ht="12.75">
      <c r="D15">
        <f>INT(((B7-1901)/4))</f>
        <v>25</v>
      </c>
      <c r="E15" s="20"/>
    </row>
    <row r="16" spans="2:7" ht="12.75">
      <c r="B16" s="1" t="s">
        <v>31</v>
      </c>
      <c r="C16">
        <f>280.1895015-(0.238724988*D16)+(D17*0.9856473288)</f>
        <v>280.242010956</v>
      </c>
      <c r="D16">
        <f>(B7+1)-1900</f>
        <v>103</v>
      </c>
      <c r="E16" s="1" t="s">
        <v>32</v>
      </c>
      <c r="F16">
        <f>2*C16-360</f>
        <v>200.484021912</v>
      </c>
      <c r="G16" t="s">
        <v>30</v>
      </c>
    </row>
    <row r="17" ht="12.75">
      <c r="D17">
        <f>INT(((B7+1)-1901)/4)</f>
        <v>25</v>
      </c>
    </row>
    <row r="20" spans="1:13" ht="12.75">
      <c r="A20" s="21">
        <v>36526</v>
      </c>
      <c r="B20" s="21">
        <v>36557</v>
      </c>
      <c r="C20" s="21">
        <v>36586</v>
      </c>
      <c r="D20" s="21">
        <v>36617</v>
      </c>
      <c r="E20" s="21">
        <v>36647</v>
      </c>
      <c r="F20" s="21">
        <v>36678</v>
      </c>
      <c r="G20" s="21">
        <v>36708</v>
      </c>
      <c r="H20" s="21">
        <v>36739</v>
      </c>
      <c r="I20" s="21">
        <v>36770</v>
      </c>
      <c r="J20" s="21">
        <v>36800</v>
      </c>
      <c r="K20" s="21">
        <v>36831</v>
      </c>
      <c r="L20" s="21">
        <v>36861</v>
      </c>
      <c r="M20" s="21">
        <v>36526</v>
      </c>
    </row>
    <row r="21" spans="1:13" ht="12.75">
      <c r="A21" s="24">
        <v>1</v>
      </c>
      <c r="B21" s="24">
        <v>32</v>
      </c>
      <c r="C21" s="24">
        <f>IF($J13&gt;0,60,61)</f>
        <v>60</v>
      </c>
      <c r="D21" s="24">
        <f>IF($J13&gt;0,91,92)</f>
        <v>91</v>
      </c>
      <c r="E21" s="24">
        <f>IF($J13&gt;0,121,122)</f>
        <v>121</v>
      </c>
      <c r="F21" s="24">
        <f>IF($J13&gt;0,152,153)</f>
        <v>152</v>
      </c>
      <c r="G21" s="24">
        <f>IF($J13&gt;0,182,183)</f>
        <v>182</v>
      </c>
      <c r="H21" s="24">
        <f>IF($J13&gt;0,213,214)</f>
        <v>213</v>
      </c>
      <c r="I21" s="24">
        <f>IF($J13&gt;0,244,245)</f>
        <v>244</v>
      </c>
      <c r="J21" s="24">
        <f>IF($J13&gt;0,274,275)</f>
        <v>274</v>
      </c>
      <c r="K21" s="24">
        <f>IF($J13&gt;0,305,306)</f>
        <v>305</v>
      </c>
      <c r="L21" s="24">
        <f>IF($J13&gt;0,335,336)</f>
        <v>335</v>
      </c>
      <c r="M21" s="24">
        <v>1</v>
      </c>
    </row>
    <row r="22" spans="1:13" ht="12.75">
      <c r="A22">
        <f>D12*COS(RADIANS(C13-D11)+(A21-1)*0.9856473288)</f>
        <v>0.06224631472473962</v>
      </c>
      <c r="B22">
        <f aca="true" t="shared" si="0" ref="B22:L22">$D12*COS(RADIANS(($C13-$D11)+(B21-1)*0.9856473288))</f>
        <v>0.021980197938693213</v>
      </c>
      <c r="C22">
        <f t="shared" si="0"/>
        <v>-0.019996065631389604</v>
      </c>
      <c r="D22">
        <f t="shared" si="0"/>
        <v>-0.06078543172059843</v>
      </c>
      <c r="E22">
        <f t="shared" si="0"/>
        <v>-0.08427000381511708</v>
      </c>
      <c r="F22">
        <f t="shared" si="0"/>
        <v>-0.0854548747685894</v>
      </c>
      <c r="G22">
        <f t="shared" si="0"/>
        <v>-0.06395661107603028</v>
      </c>
      <c r="H22">
        <f t="shared" si="0"/>
        <v>-0.024347654190493857</v>
      </c>
      <c r="I22">
        <f t="shared" si="0"/>
        <v>0.02202308620136973</v>
      </c>
      <c r="J22">
        <f t="shared" si="0"/>
        <v>0.06119890409932134</v>
      </c>
      <c r="K22">
        <f t="shared" si="0"/>
        <v>0.08484753898802028</v>
      </c>
      <c r="L22">
        <f t="shared" si="0"/>
        <v>0.08531610771009665</v>
      </c>
      <c r="M22">
        <f>$D12*COS(RADIANS((C16-$D11)+(M21-1)*0.9856473288))</f>
        <v>0.06250495091263415</v>
      </c>
    </row>
    <row r="23" spans="1:13" ht="12.75">
      <c r="A23">
        <f>$G12*COS(RADIANS(($F13-$G11)+(A21-1)*0.9856473288*2))</f>
        <v>0.03329999247122337</v>
      </c>
      <c r="B23">
        <f aca="true" t="shared" si="1" ref="A23:L23">$G12*COS(RADIANS(($F13-$G11)+(B21-1)*0.9856473288*2))</f>
        <v>0.016107748547846096</v>
      </c>
      <c r="C23">
        <f t="shared" si="1"/>
        <v>-0.014737520602910968</v>
      </c>
      <c r="D23">
        <f t="shared" si="1"/>
        <v>-0.033265137260444055</v>
      </c>
      <c r="E23">
        <f t="shared" si="1"/>
        <v>-0.018371343771287792</v>
      </c>
      <c r="F23">
        <f t="shared" si="1"/>
        <v>0.01544164486182717</v>
      </c>
      <c r="G23">
        <f t="shared" si="1"/>
        <v>0.033246962129359986</v>
      </c>
      <c r="H23">
        <f t="shared" si="1"/>
        <v>0.017707417248210743</v>
      </c>
      <c r="I23">
        <f t="shared" si="1"/>
        <v>-0.016137080793149496</v>
      </c>
      <c r="J23">
        <f t="shared" si="1"/>
        <v>-0.0332821691163693</v>
      </c>
      <c r="K23">
        <f t="shared" si="1"/>
        <v>-0.017033527548071182</v>
      </c>
      <c r="L23">
        <f t="shared" si="1"/>
        <v>0.015824934592900245</v>
      </c>
      <c r="M23">
        <f>$G12*COS(RADIANS(($F16-$G11)+(M21-1)*0.9856473288*2))</f>
        <v>0.03329864970532285</v>
      </c>
    </row>
    <row r="24" spans="1:13" ht="12.75">
      <c r="A24" s="23">
        <f aca="true" t="shared" si="2" ref="A24:M24">A22+A23</f>
        <v>0.09554630719596299</v>
      </c>
      <c r="B24" s="23">
        <f t="shared" si="2"/>
        <v>0.038087946486539306</v>
      </c>
      <c r="C24" s="23">
        <f t="shared" si="2"/>
        <v>-0.034733586234300576</v>
      </c>
      <c r="D24" s="23">
        <f t="shared" si="2"/>
        <v>-0.09405056898104248</v>
      </c>
      <c r="E24" s="23">
        <f t="shared" si="2"/>
        <v>-0.10264134758640488</v>
      </c>
      <c r="F24" s="23">
        <f t="shared" si="2"/>
        <v>-0.07001322990676223</v>
      </c>
      <c r="G24" s="23">
        <f t="shared" si="2"/>
        <v>-0.03070964894667029</v>
      </c>
      <c r="H24" s="23">
        <f t="shared" si="2"/>
        <v>-0.006640236942283113</v>
      </c>
      <c r="I24" s="23">
        <f t="shared" si="2"/>
        <v>0.005886005408220235</v>
      </c>
      <c r="J24" s="23">
        <f t="shared" si="2"/>
        <v>0.027916734982952038</v>
      </c>
      <c r="K24" s="23">
        <f t="shared" si="2"/>
        <v>0.0678140114399491</v>
      </c>
      <c r="L24" s="23">
        <f t="shared" si="2"/>
        <v>0.10114104230299689</v>
      </c>
      <c r="M24" s="23">
        <f t="shared" si="2"/>
        <v>0.09580360061795701</v>
      </c>
    </row>
    <row r="25" ht="12.75">
      <c r="D25" s="1" t="s">
        <v>33</v>
      </c>
    </row>
  </sheetData>
  <sheetProtection password="8CC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QSystem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S. Najjar, Jr.</dc:creator>
  <cp:keywords/>
  <dc:description/>
  <cp:lastModifiedBy>Arthur S. Najjar, Jr.</cp:lastModifiedBy>
  <cp:lastPrinted>2000-04-12T17:50:49Z</cp:lastPrinted>
  <dcterms:created xsi:type="dcterms:W3CDTF">1999-10-25T20:29:44Z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